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400" windowHeight="7995" activeTab="0"/>
  </bookViews>
  <sheets>
    <sheet name="Лист1" sheetId="1" r:id="rId1"/>
    <sheet name="Лист2" sheetId="2" r:id="rId2"/>
    <sheet name="Лист3" sheetId="3" r:id="rId3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<sst xmlns="http://schemas.openxmlformats.org/spreadsheetml/2006/main" count="68" uniqueCount="40">
  <si>
    <t>МОДЕЛЬ</t>
  </si>
  <si>
    <t>Lakky h-12 см</t>
  </si>
  <si>
    <t>Faby h-12 см</t>
  </si>
  <si>
    <t>Sinti h-15 см</t>
  </si>
  <si>
    <t>Villi h-15 см</t>
  </si>
  <si>
    <t>Bony h-10 см</t>
  </si>
  <si>
    <t>Polli h-10 см</t>
  </si>
  <si>
    <t xml:space="preserve">Tony h-10 см </t>
  </si>
  <si>
    <t>Kitti h-11 см</t>
  </si>
  <si>
    <t>ЧЕХОЛ</t>
  </si>
  <si>
    <t>цветной хлопковый</t>
  </si>
  <si>
    <r>
      <t>ANTIBATTERICO</t>
    </r>
    <r>
      <rPr>
        <b/>
        <i/>
        <sz val="8"/>
        <rFont val="Arial"/>
        <family val="2"/>
      </rPr>
      <t xml:space="preserve">   </t>
    </r>
    <r>
      <rPr>
        <sz val="8"/>
        <rFont val="Arial"/>
        <family val="2"/>
      </rPr>
      <t>трикотаж  +200гр холлофайбера</t>
    </r>
  </si>
  <si>
    <t>CLASSICO  хлопковый жаккард + 300гр файбера</t>
  </si>
  <si>
    <r>
      <rPr>
        <sz val="8"/>
        <rFont val="Arial"/>
        <family val="2"/>
      </rPr>
      <t xml:space="preserve">ANTIBATTERICO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трикотаж  +200гр холлофайбера</t>
    </r>
  </si>
  <si>
    <t xml:space="preserve">НАПОЛНЕНИЕ </t>
  </si>
  <si>
    <t>войлок 1 см, холофайбер 1.5 см с каждой стороны</t>
  </si>
  <si>
    <t>кокос 1 см, холофайбер 1.5 см с каждой стороны</t>
  </si>
  <si>
    <t>войлок 1 см, латекс 2 см с каждой стороны</t>
  </si>
  <si>
    <t>кокос 1 см (2 шт), холоффйбер 8 см</t>
  </si>
  <si>
    <t>кокос 3 см (1 шт), HOLLCON 3 см (2 шт)</t>
  </si>
  <si>
    <t>кокос 3 см (1 шт), ERGOFLEX 3 см (2 шт)</t>
  </si>
  <si>
    <t>кокос 3 см (1 шт), латекс 3 см (2 шт</t>
  </si>
  <si>
    <t>ОБЩИЕ ХАРАКТЕРИСТИКИ</t>
  </si>
  <si>
    <t>пружинный блок боннель  
h - 8 см</t>
  </si>
  <si>
    <t>блок независимых пружин
h - 8 см</t>
  </si>
  <si>
    <t>беспружинные</t>
  </si>
  <si>
    <t>*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</si>
  <si>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</t>
    </r>
  </si>
  <si>
    <t>1. Цена на нестандартный размер матраса = плюс  10% к ближайшему большему  размеру</t>
  </si>
  <si>
    <t>2. Нестандартная высота беспружинных матрасов = Цена матраса/Н(стандарт)*Н(требуемая)+10%</t>
  </si>
  <si>
    <t>прайс</t>
  </si>
  <si>
    <t>опт</t>
  </si>
  <si>
    <t>наценка</t>
  </si>
  <si>
    <r>
      <t>моб.: </t>
    </r>
    <r>
      <rPr>
        <sz val="10"/>
        <color indexed="30"/>
        <rFont val="Arial"/>
        <family val="2"/>
      </rPr>
      <t>+7(916) 030-1312</t>
    </r>
  </si>
  <si>
    <r>
      <t>моб.: </t>
    </r>
    <r>
      <rPr>
        <sz val="10"/>
        <color indexed="30"/>
        <rFont val="Arial"/>
        <family val="2"/>
      </rPr>
      <t>+7(985) 924-5413</t>
    </r>
  </si>
  <si>
    <r>
      <t>тел.: </t>
    </r>
    <r>
      <rPr>
        <sz val="10"/>
        <color indexed="30"/>
        <rFont val="Arial"/>
        <family val="2"/>
      </rPr>
      <t>+7(495) 571-2038</t>
    </r>
  </si>
  <si>
    <r>
      <t>факс: </t>
    </r>
    <r>
      <rPr>
        <sz val="10"/>
        <color indexed="30"/>
        <rFont val="Arial"/>
        <family val="2"/>
      </rPr>
      <t>+7(495) 571-2038</t>
    </r>
  </si>
  <si>
    <r>
      <t>e-mail: </t>
    </r>
    <r>
      <rPr>
        <sz val="10"/>
        <color indexed="30"/>
        <rFont val="Arial"/>
        <family val="2"/>
      </rPr>
      <t>130576@mail.ru</t>
    </r>
  </si>
  <si>
    <t>web: www.тиайди.рф </t>
  </si>
  <si>
    <t>web: www.tidgroup.ru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</si>
</sst>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Tahoma"/>
      <family val="0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6"/>
      <color indexed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Alignment="1">
      <alignment vertical="center"/>
    </xf>
    <xf numFmtId="4" fontId="6" fillId="0" borderId="21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" fillId="0" borderId="0" xfId="15" applyAlignment="1">
      <alignment horizontal="right"/>
    </xf>
    <xf numFmtId="0" fontId="10" fillId="0" borderId="0" xfId="0" applyFont="1" applyAlignment="1">
      <alignment/>
    </xf>
    <xf numFmtId="0" fontId="3" fillId="2" borderId="2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4</xdr:row>
      <xdr:rowOff>152400</xdr:rowOff>
    </xdr:from>
    <xdr:to>
      <xdr:col>5</xdr:col>
      <xdr:colOff>1181100</xdr:colOff>
      <xdr:row>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00100"/>
          <a:ext cx="2238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4</xdr:row>
      <xdr:rowOff>123825</xdr:rowOff>
    </xdr:from>
    <xdr:to>
      <xdr:col>7</xdr:col>
      <xdr:colOff>180975</xdr:colOff>
      <xdr:row>7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771525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5</xdr:col>
      <xdr:colOff>352425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451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3</xdr:col>
      <xdr:colOff>1238250</xdr:colOff>
      <xdr:row>7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28675"/>
          <a:ext cx="2600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90;&#1080;&#1072;&#1081;&#1076;&#1080;.&#1088;&#1092;/" TargetMode="External" /><Relationship Id="rId2" Type="http://schemas.openxmlformats.org/officeDocument/2006/relationships/hyperlink" Target="http://www.tidgroup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E51" sqref="E51"/>
    </sheetView>
  </sheetViews>
  <sheetFormatPr defaultColWidth="9.140625" defaultRowHeight="12.75"/>
  <cols>
    <col min="1" max="1" width="7.140625" style="1" customWidth="1"/>
    <col min="2" max="2" width="4.7109375" style="1" customWidth="1"/>
    <col min="3" max="3" width="8.57421875" style="1" customWidth="1"/>
    <col min="4" max="4" width="20.421875" style="1" customWidth="1"/>
    <col min="5" max="5" width="22.140625" style="1" customWidth="1"/>
    <col min="6" max="6" width="21.57421875" style="1" customWidth="1"/>
    <col min="7" max="7" width="16.8515625" style="1" customWidth="1"/>
    <col min="8" max="8" width="14.140625" style="1" customWidth="1"/>
    <col min="9" max="9" width="17.57421875" style="1" customWidth="1"/>
    <col min="10" max="10" width="18.00390625" style="1" customWidth="1"/>
    <col min="11" max="11" width="17.57421875" style="1" customWidth="1"/>
    <col min="12" max="12" width="9.140625" style="1" customWidth="1"/>
    <col min="13" max="13" width="14.140625" style="1" customWidth="1"/>
    <col min="14" max="16384" width="9.140625" style="1" customWidth="1"/>
  </cols>
  <sheetData>
    <row r="1" ht="12.75">
      <c r="K1" s="43" t="s">
        <v>33</v>
      </c>
    </row>
    <row r="2" ht="12.75">
      <c r="K2" s="43" t="s">
        <v>34</v>
      </c>
    </row>
    <row r="3" ht="12.75">
      <c r="K3" s="43" t="s">
        <v>35</v>
      </c>
    </row>
    <row r="4" ht="12.75">
      <c r="K4" s="43" t="s">
        <v>36</v>
      </c>
    </row>
    <row r="5" ht="12.75">
      <c r="K5" s="43" t="s">
        <v>37</v>
      </c>
    </row>
    <row r="6" spans="3:11" ht="15">
      <c r="C6" s="1"/>
      <c r="K6" s="44" t="s">
        <v>38</v>
      </c>
    </row>
    <row r="7" spans="1:11" ht="13.5" customHeight="1">
      <c r="A7" s="45"/>
      <c r="C7" s="1"/>
      <c r="F7" s="49"/>
      <c r="K7" s="44" t="s">
        <v>39</v>
      </c>
    </row>
    <row r="8" ht="12.75"/>
    <row r="9" ht="13.5" thickBot="1"/>
    <row r="10" spans="1:11" ht="12.75">
      <c r="A10" s="2" t="s">
        <v>0</v>
      </c>
      <c r="B10" s="3"/>
      <c r="C10" s="4"/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46" t="s">
        <v>8</v>
      </c>
    </row>
    <row r="11" spans="1:11" ht="15" customHeight="1">
      <c r="A11" s="6"/>
      <c r="B11" s="7"/>
      <c r="C11" s="8"/>
      <c r="D11" s="47"/>
      <c r="E11" s="47"/>
      <c r="F11" s="9"/>
      <c r="G11" s="47"/>
      <c r="H11" s="47"/>
      <c r="I11" s="47"/>
      <c r="J11" s="47"/>
      <c r="K11" s="48"/>
    </row>
    <row r="12" spans="1:11" ht="12.75">
      <c r="A12" s="10" t="s">
        <v>9</v>
      </c>
      <c r="B12" s="11"/>
      <c r="C12" s="12"/>
      <c r="D12" s="13" t="s">
        <v>10</v>
      </c>
      <c r="E12" s="13"/>
      <c r="F12" s="13" t="s">
        <v>11</v>
      </c>
      <c r="G12" s="13"/>
      <c r="H12" s="13" t="s">
        <v>10</v>
      </c>
      <c r="I12" s="14" t="s">
        <v>12</v>
      </c>
      <c r="J12" s="13"/>
      <c r="K12" s="15" t="s">
        <v>13</v>
      </c>
    </row>
    <row r="13" spans="1:11" ht="30.75" customHeight="1">
      <c r="A13" s="6"/>
      <c r="B13" s="7"/>
      <c r="C13" s="8"/>
      <c r="D13" s="16"/>
      <c r="E13" s="16"/>
      <c r="F13" s="16"/>
      <c r="G13" s="16"/>
      <c r="H13" s="16"/>
      <c r="I13" s="16"/>
      <c r="J13" s="16"/>
      <c r="K13" s="17"/>
    </row>
    <row r="14" spans="1:11" ht="12.75">
      <c r="A14" s="10" t="s">
        <v>14</v>
      </c>
      <c r="B14" s="11"/>
      <c r="C14" s="12"/>
      <c r="D14" s="18" t="s">
        <v>15</v>
      </c>
      <c r="E14" s="18" t="s">
        <v>16</v>
      </c>
      <c r="F14" s="18" t="s">
        <v>16</v>
      </c>
      <c r="G14" s="18" t="s">
        <v>17</v>
      </c>
      <c r="H14" s="18" t="s">
        <v>18</v>
      </c>
      <c r="I14" s="18" t="s">
        <v>19</v>
      </c>
      <c r="J14" s="18" t="s">
        <v>20</v>
      </c>
      <c r="K14" s="19" t="s">
        <v>21</v>
      </c>
    </row>
    <row r="15" spans="1:11" ht="25.5" customHeight="1">
      <c r="A15" s="6"/>
      <c r="B15" s="7"/>
      <c r="C15" s="8"/>
      <c r="D15" s="20"/>
      <c r="E15" s="20"/>
      <c r="F15" s="20"/>
      <c r="G15" s="20"/>
      <c r="H15" s="20"/>
      <c r="I15" s="20"/>
      <c r="J15" s="20"/>
      <c r="K15" s="21"/>
    </row>
    <row r="16" spans="1:11" ht="12.75">
      <c r="A16" s="10" t="s">
        <v>22</v>
      </c>
      <c r="B16" s="11"/>
      <c r="C16" s="12"/>
      <c r="D16" s="22" t="s">
        <v>23</v>
      </c>
      <c r="E16" s="22"/>
      <c r="F16" s="22" t="s">
        <v>24</v>
      </c>
      <c r="G16" s="22"/>
      <c r="H16" s="22" t="s">
        <v>25</v>
      </c>
      <c r="I16" s="22"/>
      <c r="J16" s="22"/>
      <c r="K16" s="23"/>
    </row>
    <row r="17" spans="1:11" ht="13.5" thickBot="1">
      <c r="A17" s="24"/>
      <c r="B17" s="25"/>
      <c r="C17" s="26"/>
      <c r="D17" s="27"/>
      <c r="E17" s="27"/>
      <c r="F17" s="27"/>
      <c r="G17" s="27"/>
      <c r="H17" s="27"/>
      <c r="I17" s="27"/>
      <c r="J17" s="27"/>
      <c r="K17" s="28"/>
    </row>
    <row r="18" spans="1:11" ht="12.75">
      <c r="A18" s="29">
        <v>60</v>
      </c>
      <c r="B18" s="30" t="s">
        <v>26</v>
      </c>
      <c r="C18" s="30">
        <v>120</v>
      </c>
      <c r="D18" s="36">
        <f>кое*1030.185</f>
        <v>1442.2589999999998</v>
      </c>
      <c r="E18" s="36">
        <f>кое*1287</f>
        <v>1801.8</v>
      </c>
      <c r="F18" s="36">
        <f>кое*2454.075</f>
        <v>3435.7049999999995</v>
      </c>
      <c r="G18" s="36">
        <f>кое*3248.505</f>
        <v>4547.907</v>
      </c>
      <c r="H18" s="36">
        <f>кое*1287</f>
        <v>1801.8</v>
      </c>
      <c r="I18" s="36">
        <f>кое*1697.67</f>
        <v>2376.738</v>
      </c>
      <c r="J18" s="36">
        <f>кое*1558.44</f>
        <v>2181.816</v>
      </c>
      <c r="K18" s="37">
        <f>кое*3494.79</f>
        <v>4892.705999999999</v>
      </c>
    </row>
    <row r="19" spans="1:11" ht="12.75">
      <c r="A19" s="31">
        <v>60</v>
      </c>
      <c r="B19" s="32" t="s">
        <v>26</v>
      </c>
      <c r="C19" s="32">
        <v>160</v>
      </c>
      <c r="D19" s="38">
        <f>кое*1373.58</f>
        <v>1923.0119999999997</v>
      </c>
      <c r="E19" s="38">
        <f>кое*1716</f>
        <v>2402.3999999999996</v>
      </c>
      <c r="F19" s="38">
        <f>кое*3272.1</f>
        <v>4580.94</v>
      </c>
      <c r="G19" s="38">
        <f>кое*4331.34</f>
        <v>6063.876</v>
      </c>
      <c r="H19" s="38">
        <f>кое*1716</f>
        <v>2402.3999999999996</v>
      </c>
      <c r="I19" s="38">
        <f>кое*2263.56</f>
        <v>3168.984</v>
      </c>
      <c r="J19" s="38">
        <f>кое*2077.92</f>
        <v>2909.0879999999997</v>
      </c>
      <c r="K19" s="39">
        <f>кое*4659.72</f>
        <v>6523.608</v>
      </c>
    </row>
    <row r="20" spans="1:11" ht="12.75">
      <c r="A20" s="31">
        <v>60</v>
      </c>
      <c r="B20" s="32" t="s">
        <v>26</v>
      </c>
      <c r="C20" s="32">
        <v>190</v>
      </c>
      <c r="D20" s="38">
        <f>кое*1631.12625</f>
        <v>2283.5767499999997</v>
      </c>
      <c r="E20" s="38">
        <f>кое*2037.75</f>
        <v>2852.85</v>
      </c>
      <c r="F20" s="38">
        <f>кое*3885.61875</f>
        <v>5439.86625</v>
      </c>
      <c r="G20" s="38">
        <f>кое*5143.46625</f>
        <v>7200.85275</v>
      </c>
      <c r="H20" s="38">
        <f>кое*2037.75</f>
        <v>2852.85</v>
      </c>
      <c r="I20" s="38">
        <f>кое*2687.9775</f>
        <v>3763.1684999999998</v>
      </c>
      <c r="J20" s="38">
        <f>кое*2467.53</f>
        <v>3454.542</v>
      </c>
      <c r="K20" s="39">
        <f>кое*5533.4175</f>
        <v>7746.784499999999</v>
      </c>
    </row>
    <row r="21" spans="1:11" ht="12.75">
      <c r="A21" s="31">
        <v>60</v>
      </c>
      <c r="B21" s="32" t="s">
        <v>26</v>
      </c>
      <c r="C21" s="32">
        <v>195</v>
      </c>
      <c r="D21" s="38">
        <f>кое*1674.050625</f>
        <v>2343.670875</v>
      </c>
      <c r="E21" s="38">
        <f>кое*2091.375</f>
        <v>2927.9249999999997</v>
      </c>
      <c r="F21" s="38">
        <f>кое*3987.871875</f>
        <v>5583.020624999999</v>
      </c>
      <c r="G21" s="38">
        <f>кое*5278.820625</f>
        <v>7390.348875</v>
      </c>
      <c r="H21" s="38">
        <f>кое*2091.375</f>
        <v>2927.9249999999997</v>
      </c>
      <c r="I21" s="38">
        <f>кое*2758.71375</f>
        <v>3862.1992499999997</v>
      </c>
      <c r="J21" s="38">
        <f>кое*2532.465</f>
        <v>3545.451</v>
      </c>
      <c r="K21" s="39">
        <f>кое*5679.03375</f>
        <v>7950.647249999999</v>
      </c>
    </row>
    <row r="22" spans="1:11" ht="12.75">
      <c r="A22" s="31">
        <v>60</v>
      </c>
      <c r="B22" s="32" t="s">
        <v>26</v>
      </c>
      <c r="C22" s="32">
        <v>200</v>
      </c>
      <c r="D22" s="38">
        <f>кое*1716.975</f>
        <v>2403.765</v>
      </c>
      <c r="E22" s="38">
        <f>кое*2145</f>
        <v>3003</v>
      </c>
      <c r="F22" s="38">
        <f>кое*4090.125</f>
        <v>5726.174999999999</v>
      </c>
      <c r="G22" s="38">
        <f>кое*5414.175</f>
        <v>7579.844999999999</v>
      </c>
      <c r="H22" s="38">
        <f>кое*2145</f>
        <v>3003</v>
      </c>
      <c r="I22" s="38">
        <f>кое*2829.45</f>
        <v>3961.2299999999996</v>
      </c>
      <c r="J22" s="38">
        <f>кое*2597.4</f>
        <v>3636.3599999999997</v>
      </c>
      <c r="K22" s="39">
        <f>кое*5824.65</f>
        <v>8154.509999999999</v>
      </c>
    </row>
    <row r="23" spans="1:11" ht="12.75">
      <c r="A23" s="31">
        <v>70</v>
      </c>
      <c r="B23" s="32" t="s">
        <v>26</v>
      </c>
      <c r="C23" s="32">
        <v>120</v>
      </c>
      <c r="D23" s="38">
        <f>кое*1201.8825</f>
        <v>1682.6354999999999</v>
      </c>
      <c r="E23" s="38">
        <f>кое*1501.5</f>
        <v>2102.1</v>
      </c>
      <c r="F23" s="38">
        <f>кое*2863.0875</f>
        <v>4008.3224999999998</v>
      </c>
      <c r="G23" s="38">
        <f>кое*3789.9225</f>
        <v>5305.8915</v>
      </c>
      <c r="H23" s="38">
        <f>кое*1501.5</f>
        <v>2102.1</v>
      </c>
      <c r="I23" s="38">
        <f>кое*1980.615</f>
        <v>2772.861</v>
      </c>
      <c r="J23" s="38">
        <f>кое*1818.18</f>
        <v>2545.4519999999998</v>
      </c>
      <c r="K23" s="39">
        <f>кое*4077.255</f>
        <v>5708.157</v>
      </c>
    </row>
    <row r="24" spans="1:11" ht="12.75">
      <c r="A24" s="31">
        <v>70</v>
      </c>
      <c r="B24" s="32" t="s">
        <v>26</v>
      </c>
      <c r="C24" s="32">
        <v>140</v>
      </c>
      <c r="D24" s="38">
        <f>кое*1402.19625</f>
        <v>1963.0747499999998</v>
      </c>
      <c r="E24" s="38">
        <f>кое*1751.75</f>
        <v>2452.45</v>
      </c>
      <c r="F24" s="38">
        <f>кое*3340.26875</f>
        <v>4676.37625</v>
      </c>
      <c r="G24" s="38">
        <f>кое*4421.57625</f>
        <v>6190.206749999999</v>
      </c>
      <c r="H24" s="38">
        <f>кое*1751.75</f>
        <v>2452.45</v>
      </c>
      <c r="I24" s="38">
        <f>кое*2310.7175</f>
        <v>3235.0045</v>
      </c>
      <c r="J24" s="38">
        <f>кое*2121.21</f>
        <v>2969.694</v>
      </c>
      <c r="K24" s="39">
        <f>кое*4756.7975</f>
        <v>6659.516499999999</v>
      </c>
    </row>
    <row r="25" spans="1:11" ht="12.75">
      <c r="A25" s="31">
        <v>70</v>
      </c>
      <c r="B25" s="32" t="s">
        <v>26</v>
      </c>
      <c r="C25" s="32">
        <v>160</v>
      </c>
      <c r="D25" s="38">
        <f>кое*1602.51</f>
        <v>2243.5139999999997</v>
      </c>
      <c r="E25" s="38">
        <f>кое*2002</f>
        <v>2802.7999999999997</v>
      </c>
      <c r="F25" s="38">
        <f>кое*3817.45</f>
        <v>5344.429999999999</v>
      </c>
      <c r="G25" s="38">
        <f>кое*5053.23</f>
        <v>7074.521999999999</v>
      </c>
      <c r="H25" s="38">
        <f>кое*2002</f>
        <v>2802.7999999999997</v>
      </c>
      <c r="I25" s="38">
        <f>кое*2640.82</f>
        <v>3697.148</v>
      </c>
      <c r="J25" s="38">
        <f>кое*2424.24</f>
        <v>3393.9359999999997</v>
      </c>
      <c r="K25" s="39">
        <f>кое*5436.34</f>
        <v>7610.875999999999</v>
      </c>
    </row>
    <row r="26" spans="1:11" ht="12.75">
      <c r="A26" s="31">
        <v>70</v>
      </c>
      <c r="B26" s="32" t="s">
        <v>26</v>
      </c>
      <c r="C26" s="32">
        <v>190</v>
      </c>
      <c r="D26" s="38">
        <f>кое*1902.980625</f>
        <v>2664.1728749999997</v>
      </c>
      <c r="E26" s="38">
        <f>кое*2377.375</f>
        <v>3328.325</v>
      </c>
      <c r="F26" s="38">
        <f>кое*4533.221875</f>
        <v>6346.510625</v>
      </c>
      <c r="G26" s="38">
        <f>кое*6000.710625</f>
        <v>8400.994874999999</v>
      </c>
      <c r="H26" s="38">
        <f>кое*2377.375</f>
        <v>3328.325</v>
      </c>
      <c r="I26" s="38">
        <f>кое*3135.97375</f>
        <v>4390.363249999999</v>
      </c>
      <c r="J26" s="38">
        <f>кое*2878.785</f>
        <v>4030.2989999999995</v>
      </c>
      <c r="K26" s="39">
        <f>кое*6455.65375</f>
        <v>9037.91525</v>
      </c>
    </row>
    <row r="27" spans="1:11" ht="12.75">
      <c r="A27" s="31">
        <v>70</v>
      </c>
      <c r="B27" s="32" t="s">
        <v>26</v>
      </c>
      <c r="C27" s="32">
        <v>195</v>
      </c>
      <c r="D27" s="38">
        <f>кое*1953.0590625</f>
        <v>2734.2826874999996</v>
      </c>
      <c r="E27" s="38">
        <f>кое*2439.9375</f>
        <v>3415.9125</v>
      </c>
      <c r="F27" s="38">
        <f>кое*4652.5171875</f>
        <v>6513.524062499999</v>
      </c>
      <c r="G27" s="38">
        <f>кое*6158.6240625</f>
        <v>8622.0736875</v>
      </c>
      <c r="H27" s="38">
        <f>кое*2439.9375</f>
        <v>3415.9125</v>
      </c>
      <c r="I27" s="38">
        <f>кое*3218.499375</f>
        <v>4505.899125</v>
      </c>
      <c r="J27" s="38">
        <f>кое*2954.5425</f>
        <v>4136.3595</v>
      </c>
      <c r="K27" s="39">
        <f>кое*6625.539375</f>
        <v>9275.755125</v>
      </c>
    </row>
    <row r="28" spans="1:11" ht="12.75">
      <c r="A28" s="31">
        <v>70</v>
      </c>
      <c r="B28" s="32" t="s">
        <v>26</v>
      </c>
      <c r="C28" s="32">
        <v>200</v>
      </c>
      <c r="D28" s="38">
        <f>кое*2003.1375</f>
        <v>2804.3925</v>
      </c>
      <c r="E28" s="38">
        <f>кое*2502.5</f>
        <v>3503.5</v>
      </c>
      <c r="F28" s="38">
        <f>кое*4771.8125</f>
        <v>6680.537499999999</v>
      </c>
      <c r="G28" s="38">
        <f>кое*6316.5375</f>
        <v>8843.1525</v>
      </c>
      <c r="H28" s="38">
        <f>кое*2502.5</f>
        <v>3503.5</v>
      </c>
      <c r="I28" s="38">
        <f>кое*3301.025</f>
        <v>4621.4349999999995</v>
      </c>
      <c r="J28" s="38">
        <f>кое*3030.3</f>
        <v>4242.42</v>
      </c>
      <c r="K28" s="39">
        <f>кое*6795.425</f>
        <v>9513.595</v>
      </c>
    </row>
    <row r="29" spans="1:11" ht="12.75">
      <c r="A29" s="31">
        <v>80</v>
      </c>
      <c r="B29" s="32" t="s">
        <v>26</v>
      </c>
      <c r="C29" s="32">
        <v>160</v>
      </c>
      <c r="D29" s="38">
        <f>кое*1831.44</f>
        <v>2564.016</v>
      </c>
      <c r="E29" s="38">
        <f>кое*2288</f>
        <v>3203.2</v>
      </c>
      <c r="F29" s="38">
        <f>кое*4362.8</f>
        <v>6107.92</v>
      </c>
      <c r="G29" s="38">
        <f>кое*5775.12</f>
        <v>8085.168</v>
      </c>
      <c r="H29" s="38">
        <f>кое*2288</f>
        <v>3203.2</v>
      </c>
      <c r="I29" s="38">
        <f>кое*3018.08</f>
        <v>4225.312</v>
      </c>
      <c r="J29" s="38">
        <f>кое*2770.56</f>
        <v>3878.7839999999997</v>
      </c>
      <c r="K29" s="39">
        <f>кое*6212.96</f>
        <v>8698.144</v>
      </c>
    </row>
    <row r="30" spans="1:11" ht="12.75">
      <c r="A30" s="31">
        <v>80</v>
      </c>
      <c r="B30" s="32" t="s">
        <v>26</v>
      </c>
      <c r="C30" s="32">
        <v>190</v>
      </c>
      <c r="D30" s="38">
        <f>кое*2174.835</f>
        <v>3044.769</v>
      </c>
      <c r="E30" s="38">
        <f>кое*2717</f>
        <v>3803.7999999999997</v>
      </c>
      <c r="F30" s="38">
        <f>кое*5180.825</f>
        <v>7253.154999999999</v>
      </c>
      <c r="G30" s="38">
        <f>кое*6857.955</f>
        <v>9601.136999999999</v>
      </c>
      <c r="H30" s="38">
        <f>кое*2717</f>
        <v>3803.7999999999997</v>
      </c>
      <c r="I30" s="38">
        <f>кое*3583.97</f>
        <v>5017.557999999999</v>
      </c>
      <c r="J30" s="38">
        <f>кое*3290.04</f>
        <v>4606.056</v>
      </c>
      <c r="K30" s="39">
        <f>кое*7377.89</f>
        <v>10329.046</v>
      </c>
    </row>
    <row r="31" spans="1:11" ht="12.75">
      <c r="A31" s="31">
        <v>80</v>
      </c>
      <c r="B31" s="32" t="s">
        <v>26</v>
      </c>
      <c r="C31" s="32">
        <v>195</v>
      </c>
      <c r="D31" s="38">
        <f>кое*2232.0675</f>
        <v>3124.8945</v>
      </c>
      <c r="E31" s="38">
        <f>кое*2788.5</f>
        <v>3903.8999999999996</v>
      </c>
      <c r="F31" s="38">
        <f>кое*5317.1625</f>
        <v>7444.0275</v>
      </c>
      <c r="G31" s="38">
        <f>кое*7038.4275</f>
        <v>9853.798499999999</v>
      </c>
      <c r="H31" s="38">
        <f>кое*2788.5</f>
        <v>3903.8999999999996</v>
      </c>
      <c r="I31" s="38">
        <f>кое*3678.285</f>
        <v>5149.598999999999</v>
      </c>
      <c r="J31" s="38">
        <f>кое*3376.62</f>
        <v>4727.267999999999</v>
      </c>
      <c r="K31" s="39">
        <f>кое*7572.045</f>
        <v>10600.863</v>
      </c>
    </row>
    <row r="32" spans="1:11" ht="12.75">
      <c r="A32" s="31">
        <v>80</v>
      </c>
      <c r="B32" s="32" t="s">
        <v>26</v>
      </c>
      <c r="C32" s="32">
        <v>200</v>
      </c>
      <c r="D32" s="38">
        <f>кое*2289.3</f>
        <v>3205.02</v>
      </c>
      <c r="E32" s="38">
        <f>кое*2860</f>
        <v>4003.9999999999995</v>
      </c>
      <c r="F32" s="38">
        <f>кое*5453.5</f>
        <v>7634.9</v>
      </c>
      <c r="G32" s="38">
        <f>кое*7218.9</f>
        <v>10106.46</v>
      </c>
      <c r="H32" s="38">
        <f>кое*2860</f>
        <v>4003.9999999999995</v>
      </c>
      <c r="I32" s="38">
        <f>кое*3772.6</f>
        <v>5281.639999999999</v>
      </c>
      <c r="J32" s="38">
        <f>кое*3463.2</f>
        <v>4848.48</v>
      </c>
      <c r="K32" s="39">
        <f>кое*7766.2</f>
        <v>10872.679999999998</v>
      </c>
    </row>
    <row r="33" spans="1:11" ht="12.75">
      <c r="A33" s="31">
        <v>90</v>
      </c>
      <c r="B33" s="32" t="s">
        <v>26</v>
      </c>
      <c r="C33" s="32">
        <v>160</v>
      </c>
      <c r="D33" s="38">
        <f>кое*2060.37</f>
        <v>2884.5179999999996</v>
      </c>
      <c r="E33" s="38">
        <f>кое*2574</f>
        <v>3603.6</v>
      </c>
      <c r="F33" s="38">
        <f>кое*4908.15</f>
        <v>6871.409999999999</v>
      </c>
      <c r="G33" s="38">
        <f>кое*6497.01</f>
        <v>9095.814</v>
      </c>
      <c r="H33" s="38">
        <f>кое*2574</f>
        <v>3603.6</v>
      </c>
      <c r="I33" s="38">
        <f>кое*3395.34</f>
        <v>4753.476</v>
      </c>
      <c r="J33" s="38">
        <f>кое*3116.88</f>
        <v>4363.632</v>
      </c>
      <c r="K33" s="39">
        <f>кое*6989.58</f>
        <v>9785.411999999998</v>
      </c>
    </row>
    <row r="34" spans="1:11" ht="12.75">
      <c r="A34" s="31">
        <v>90</v>
      </c>
      <c r="B34" s="32" t="s">
        <v>26</v>
      </c>
      <c r="C34" s="32">
        <v>190</v>
      </c>
      <c r="D34" s="38">
        <f>кое*2446.689375</f>
        <v>3425.365125</v>
      </c>
      <c r="E34" s="38">
        <f>кое*3056.625</f>
        <v>4279.275</v>
      </c>
      <c r="F34" s="38">
        <f>кое*5828.428125</f>
        <v>8159.799375</v>
      </c>
      <c r="G34" s="38">
        <f>кое*7715.199375</f>
        <v>10801.279125</v>
      </c>
      <c r="H34" s="38">
        <f>кое*3056.625</f>
        <v>4279.275</v>
      </c>
      <c r="I34" s="38">
        <f>кое*4031.96625</f>
        <v>5644.75275</v>
      </c>
      <c r="J34" s="38">
        <f>кое*3701.295</f>
        <v>5181.813</v>
      </c>
      <c r="K34" s="39">
        <f>кое*8300.12625</f>
        <v>11620.176749999999</v>
      </c>
    </row>
    <row r="35" spans="1:11" ht="12.75">
      <c r="A35" s="31">
        <v>90</v>
      </c>
      <c r="B35" s="32" t="s">
        <v>26</v>
      </c>
      <c r="C35" s="32">
        <v>195</v>
      </c>
      <c r="D35" s="38">
        <f>кое*2511.0759375</f>
        <v>3515.5063124999997</v>
      </c>
      <c r="E35" s="38">
        <f>кое*3137.0625</f>
        <v>4391.8875</v>
      </c>
      <c r="F35" s="38">
        <f>кое*5981.8078125</f>
        <v>8374.5309375</v>
      </c>
      <c r="G35" s="38">
        <f>кое*7918.2309375</f>
        <v>11085.5233125</v>
      </c>
      <c r="H35" s="38">
        <f>кое*3137.0625</f>
        <v>4391.8875</v>
      </c>
      <c r="I35" s="38">
        <f>кое*4138.070625</f>
        <v>5793.298875</v>
      </c>
      <c r="J35" s="38">
        <f>кое*3798.6975</f>
        <v>5318.1765</v>
      </c>
      <c r="K35" s="39">
        <f>кое*8518.550625</f>
        <v>11925.970874999999</v>
      </c>
    </row>
    <row r="36" spans="1:11" ht="12.75">
      <c r="A36" s="31">
        <v>90</v>
      </c>
      <c r="B36" s="32" t="s">
        <v>26</v>
      </c>
      <c r="C36" s="32">
        <v>200</v>
      </c>
      <c r="D36" s="38">
        <f>кое*2575.4625</f>
        <v>3605.6475</v>
      </c>
      <c r="E36" s="38">
        <f>кое*3217.5</f>
        <v>4504.5</v>
      </c>
      <c r="F36" s="38">
        <f>кое*6135.1875</f>
        <v>8589.262499999999</v>
      </c>
      <c r="G36" s="38">
        <f>кое*8121.2625</f>
        <v>11369.7675</v>
      </c>
      <c r="H36" s="38">
        <f>кое*3217.5</f>
        <v>4504.5</v>
      </c>
      <c r="I36" s="38">
        <f>кое*4244.175</f>
        <v>5941.845</v>
      </c>
      <c r="J36" s="38">
        <f>кое*3896.1</f>
        <v>5454.54</v>
      </c>
      <c r="K36" s="39">
        <f>кое*8736.975</f>
        <v>12231.765</v>
      </c>
    </row>
    <row r="37" spans="1:11" ht="12.75">
      <c r="A37" s="31">
        <v>120</v>
      </c>
      <c r="B37" s="32" t="s">
        <v>26</v>
      </c>
      <c r="C37" s="32">
        <v>160</v>
      </c>
      <c r="D37" s="38">
        <f>кое*2747.16</f>
        <v>3846.0239999999994</v>
      </c>
      <c r="E37" s="38">
        <f>кое*3432</f>
        <v>4804.799999999999</v>
      </c>
      <c r="F37" s="38">
        <f>кое*6544.2</f>
        <v>9161.88</v>
      </c>
      <c r="G37" s="38">
        <f>кое*8662.68</f>
        <v>12127.752</v>
      </c>
      <c r="H37" s="38">
        <f>кое*3432</f>
        <v>4804.799999999999</v>
      </c>
      <c r="I37" s="38">
        <f>кое*4527.12</f>
        <v>6337.968</v>
      </c>
      <c r="J37" s="38">
        <f>кое*4155.84</f>
        <v>5818.1759999999995</v>
      </c>
      <c r="K37" s="39">
        <f>кое*9319.44</f>
        <v>13047.216</v>
      </c>
    </row>
    <row r="38" spans="1:11" ht="12.75">
      <c r="A38" s="31">
        <v>120</v>
      </c>
      <c r="B38" s="32" t="s">
        <v>26</v>
      </c>
      <c r="C38" s="32">
        <v>190</v>
      </c>
      <c r="D38" s="38">
        <f>кое*3262.2525</f>
        <v>4567.153499999999</v>
      </c>
      <c r="E38" s="38">
        <f>кое*4075.5</f>
        <v>5705.7</v>
      </c>
      <c r="F38" s="38">
        <f>кое*7771.2375</f>
        <v>10879.7325</v>
      </c>
      <c r="G38" s="38">
        <f>кое*10286.9325</f>
        <v>14401.7055</v>
      </c>
      <c r="H38" s="38">
        <f>кое*4075.5</f>
        <v>5705.7</v>
      </c>
      <c r="I38" s="38">
        <f>кое*5375.955</f>
        <v>7526.3369999999995</v>
      </c>
      <c r="J38" s="38">
        <f>кое*4935.06</f>
        <v>6909.084</v>
      </c>
      <c r="K38" s="39">
        <f>кое*11066.835</f>
        <v>15493.568999999998</v>
      </c>
    </row>
    <row r="39" spans="1:11" ht="12.75">
      <c r="A39" s="31">
        <v>120</v>
      </c>
      <c r="B39" s="32" t="s">
        <v>26</v>
      </c>
      <c r="C39" s="32">
        <v>195</v>
      </c>
      <c r="D39" s="38">
        <f>кое*3348.10125</f>
        <v>4687.34175</v>
      </c>
      <c r="E39" s="38">
        <f>кое*4182.75</f>
        <v>5855.849999999999</v>
      </c>
      <c r="F39" s="38">
        <f>кое*7975.74375</f>
        <v>11166.041249999998</v>
      </c>
      <c r="G39" s="38">
        <f>кое*10557.64125</f>
        <v>14780.69775</v>
      </c>
      <c r="H39" s="38">
        <f>кое*4182.75</f>
        <v>5855.849999999999</v>
      </c>
      <c r="I39" s="38">
        <f>кое*5517.4275</f>
        <v>7724.398499999999</v>
      </c>
      <c r="J39" s="38">
        <f>кое*5064.93</f>
        <v>7090.902</v>
      </c>
      <c r="K39" s="39">
        <f>кое*11358.0675</f>
        <v>15901.294499999998</v>
      </c>
    </row>
    <row r="40" spans="1:11" ht="12.75">
      <c r="A40" s="31">
        <v>120</v>
      </c>
      <c r="B40" s="32" t="s">
        <v>26</v>
      </c>
      <c r="C40" s="32">
        <v>200</v>
      </c>
      <c r="D40" s="38">
        <f>кое*3433.95</f>
        <v>4807.53</v>
      </c>
      <c r="E40" s="38">
        <f>кое*4290</f>
        <v>6006</v>
      </c>
      <c r="F40" s="38">
        <f>кое*8180.25</f>
        <v>11452.349999999999</v>
      </c>
      <c r="G40" s="38">
        <f>кое*10828.35</f>
        <v>15159.689999999999</v>
      </c>
      <c r="H40" s="38">
        <f>кое*4290</f>
        <v>6006</v>
      </c>
      <c r="I40" s="38">
        <f>кое*5658.9</f>
        <v>7922.459999999999</v>
      </c>
      <c r="J40" s="38">
        <f>кое*5194.8</f>
        <v>7272.719999999999</v>
      </c>
      <c r="K40" s="39">
        <f>кое*11649.3</f>
        <v>16309.019999999999</v>
      </c>
    </row>
    <row r="41" spans="1:11" ht="12.75">
      <c r="A41" s="31">
        <v>140</v>
      </c>
      <c r="B41" s="32" t="s">
        <v>26</v>
      </c>
      <c r="C41" s="32">
        <v>160</v>
      </c>
      <c r="D41" s="38">
        <f>кое*3205.02</f>
        <v>4487.027999999999</v>
      </c>
      <c r="E41" s="38">
        <f>кое*4004</f>
        <v>5605.599999999999</v>
      </c>
      <c r="F41" s="38">
        <f>кое*7634.9</f>
        <v>10688.859999999999</v>
      </c>
      <c r="G41" s="38">
        <f>кое*10106.46</f>
        <v>14149.043999999998</v>
      </c>
      <c r="H41" s="38">
        <f>кое*4004</f>
        <v>5605.599999999999</v>
      </c>
      <c r="I41" s="38">
        <f>кое*5281.64</f>
        <v>7394.296</v>
      </c>
      <c r="J41" s="38">
        <f>кое*4848.48</f>
        <v>6787.871999999999</v>
      </c>
      <c r="K41" s="39">
        <f>кое*10872.68</f>
        <v>15221.751999999999</v>
      </c>
    </row>
    <row r="42" spans="1:11" ht="12.75">
      <c r="A42" s="31">
        <v>140</v>
      </c>
      <c r="B42" s="32" t="s">
        <v>26</v>
      </c>
      <c r="C42" s="32">
        <v>190</v>
      </c>
      <c r="D42" s="38">
        <f>кое*3805.96125</f>
        <v>5328.3457499999995</v>
      </c>
      <c r="E42" s="38">
        <f>кое*4754.75</f>
        <v>6656.65</v>
      </c>
      <c r="F42" s="38">
        <f>кое*9066.44375</f>
        <v>12693.02125</v>
      </c>
      <c r="G42" s="38">
        <f>кое*12001.42125</f>
        <v>16801.989749999997</v>
      </c>
      <c r="H42" s="38">
        <f>кое*4754.75</f>
        <v>6656.65</v>
      </c>
      <c r="I42" s="38">
        <f>кое*6271.9475</f>
        <v>8780.726499999999</v>
      </c>
      <c r="J42" s="38">
        <f>кое*5757.57</f>
        <v>8060.597999999999</v>
      </c>
      <c r="K42" s="39">
        <f>кое*12911.3075</f>
        <v>18075.8305</v>
      </c>
    </row>
    <row r="43" spans="1:11" ht="12.75">
      <c r="A43" s="31">
        <v>140</v>
      </c>
      <c r="B43" s="32" t="s">
        <v>26</v>
      </c>
      <c r="C43" s="32">
        <v>195</v>
      </c>
      <c r="D43" s="38">
        <f>кое*3906.118125</f>
        <v>5468.565374999999</v>
      </c>
      <c r="E43" s="38">
        <f>кое*4879.875</f>
        <v>6831.825</v>
      </c>
      <c r="F43" s="38">
        <f>кое*9305.034375</f>
        <v>13027.048124999998</v>
      </c>
      <c r="G43" s="38">
        <f>кое*12317.248125</f>
        <v>17244.147375</v>
      </c>
      <c r="H43" s="38">
        <f>кое*4879.875</f>
        <v>6831.825</v>
      </c>
      <c r="I43" s="38">
        <f>кое*6436.99875</f>
        <v>9011.79825</v>
      </c>
      <c r="J43" s="38">
        <f>кое*5909.085</f>
        <v>8272.719</v>
      </c>
      <c r="K43" s="39">
        <f>кое*13251.07875</f>
        <v>18551.51025</v>
      </c>
    </row>
    <row r="44" spans="1:11" ht="13.5" thickBot="1">
      <c r="A44" s="33">
        <v>140</v>
      </c>
      <c r="B44" s="34" t="s">
        <v>26</v>
      </c>
      <c r="C44" s="34">
        <v>200</v>
      </c>
      <c r="D44" s="40">
        <f>кое*4006.275</f>
        <v>5608.785</v>
      </c>
      <c r="E44" s="40">
        <f>кое*5005</f>
        <v>7007</v>
      </c>
      <c r="F44" s="40">
        <f>кое*9543.625</f>
        <v>13361.074999999999</v>
      </c>
      <c r="G44" s="40">
        <f>кое*12633.075</f>
        <v>17686.305</v>
      </c>
      <c r="H44" s="40">
        <f>кое*5005</f>
        <v>7007</v>
      </c>
      <c r="I44" s="40">
        <f>кое*6602.05</f>
        <v>9242.869999999999</v>
      </c>
      <c r="J44" s="40">
        <f>кое*6060.6</f>
        <v>8484.84</v>
      </c>
      <c r="K44" s="41">
        <f>кое*13590.85</f>
        <v>19027.19</v>
      </c>
    </row>
    <row r="45" spans="4:11" ht="12.75">
      <c r="D45" s="42"/>
      <c r="E45" s="42"/>
      <c r="F45" s="42"/>
      <c r="G45" s="42"/>
      <c r="H45" s="42"/>
      <c r="I45" s="42"/>
      <c r="J45" s="42"/>
      <c r="K45" s="42"/>
    </row>
    <row r="46" spans="1:4" ht="15">
      <c r="A46" s="35" t="s">
        <v>27</v>
      </c>
      <c r="D46" s="1" t="s">
        <v>28</v>
      </c>
    </row>
    <row r="47" ht="12.75">
      <c r="D47" s="1" t="s">
        <v>29</v>
      </c>
    </row>
  </sheetData>
  <mergeCells count="28">
    <mergeCell ref="K14:K15"/>
    <mergeCell ref="A16:C17"/>
    <mergeCell ref="D16:E17"/>
    <mergeCell ref="F16:G17"/>
    <mergeCell ref="H16:K17"/>
    <mergeCell ref="G14:G15"/>
    <mergeCell ref="H14:H15"/>
    <mergeCell ref="I14:I15"/>
    <mergeCell ref="J14:J15"/>
    <mergeCell ref="A14:C15"/>
    <mergeCell ref="D14:D15"/>
    <mergeCell ref="E14:E15"/>
    <mergeCell ref="F14:F15"/>
    <mergeCell ref="K10:K11"/>
    <mergeCell ref="A12:C13"/>
    <mergeCell ref="D12:E13"/>
    <mergeCell ref="F12:G13"/>
    <mergeCell ref="H12:H13"/>
    <mergeCell ref="I12:J13"/>
    <mergeCell ref="K12:K13"/>
    <mergeCell ref="A10:C11"/>
    <mergeCell ref="D10:D11"/>
    <mergeCell ref="E10:E11"/>
    <mergeCell ref="F10:F11"/>
    <mergeCell ref="G10:G11"/>
    <mergeCell ref="H10:H11"/>
    <mergeCell ref="I10:I11"/>
    <mergeCell ref="J10:J11"/>
  </mergeCells>
  <hyperlinks>
    <hyperlink ref="K6" r:id="rId1" display="http://www.тиайди.рф/"/>
    <hyperlink ref="K7" r:id="rId2" display="http://www.tidgroup.ru/"/>
  </hyperlinks>
  <printOptions/>
  <pageMargins left="0.18" right="0.18" top="0.18" bottom="0.18" header="0.18" footer="0.18"/>
  <pageSetup horizontalDpi="600" verticalDpi="600" orientation="landscape" paperSize="9" scale="8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3" sqref="A3"/>
    </sheetView>
  </sheetViews>
  <sheetFormatPr defaultColWidth="9.140625" defaultRowHeight="12.75"/>
  <sheetData>
    <row r="1" spans="1:2" ht="12.75">
      <c r="A1" t="s">
        <v>30</v>
      </c>
      <c r="B1" t="s">
        <v>31</v>
      </c>
    </row>
    <row r="2" spans="1:2" ht="12.75">
      <c r="A2" t="s">
        <v>32</v>
      </c>
      <c r="B2">
        <v>1.4</v>
      </c>
    </row>
    <row r="3" ht="12.75">
      <c r="A3">
        <f>B2</f>
        <v>1.4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2013-02-09T10:47:09Z</cp:lastPrinted>
  <dcterms:created xsi:type="dcterms:W3CDTF">2013-02-09T10:21:46Z</dcterms:created>
  <dcterms:modified xsi:type="dcterms:W3CDTF">2013-02-09T10:47:44Z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